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ngel\Interactive\"/>
    </mc:Choice>
  </mc:AlternateContent>
  <xr:revisionPtr revIDLastSave="0" documentId="8_{DB3DD719-A174-4F5E-82EA-57FE04B63D3F}" xr6:coauthVersionLast="47" xr6:coauthVersionMax="47" xr10:uidLastSave="{00000000-0000-0000-0000-000000000000}"/>
  <bookViews>
    <workbookView xWindow="-28920" yWindow="-120" windowWidth="29040" windowHeight="15840" xr2:uid="{F6BB3959-C7FE-4083-9595-4DF744427F5A}"/>
  </bookViews>
  <sheets>
    <sheet name="Dashboard" sheetId="2" r:id="rId1"/>
    <sheet name="Sheet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11" i="2" s="1"/>
  <c r="B20" i="2" s="1"/>
  <c r="L10" i="1"/>
  <c r="L9" i="1"/>
  <c r="L8" i="1"/>
  <c r="L7" i="1"/>
  <c r="L6" i="1"/>
  <c r="L5" i="1"/>
  <c r="L4" i="1"/>
  <c r="L3" i="1"/>
  <c r="L2" i="1"/>
  <c r="J10" i="1"/>
  <c r="J9" i="1"/>
  <c r="J8" i="1"/>
  <c r="J7" i="1"/>
  <c r="J6" i="1"/>
  <c r="J5" i="1"/>
  <c r="J4" i="1"/>
  <c r="J3" i="1"/>
  <c r="J2" i="1"/>
  <c r="H10" i="1"/>
  <c r="H9" i="1"/>
  <c r="H8" i="1"/>
  <c r="H7" i="1"/>
  <c r="H6" i="1"/>
  <c r="H5" i="1"/>
  <c r="H4" i="1"/>
  <c r="H3" i="1"/>
  <c r="H2" i="1"/>
  <c r="F10" i="1"/>
  <c r="F9" i="1"/>
  <c r="F8" i="1"/>
  <c r="F7" i="1"/>
  <c r="F6" i="1"/>
  <c r="F5" i="1"/>
  <c r="F4" i="1"/>
  <c r="F3" i="1"/>
  <c r="F2" i="1"/>
  <c r="M2" i="1"/>
  <c r="K2" i="1"/>
  <c r="I2" i="1"/>
  <c r="B24" i="1"/>
  <c r="C20" i="1" s="1"/>
  <c r="B15" i="2" l="1"/>
  <c r="B16" i="2"/>
  <c r="B17" i="2"/>
  <c r="B14" i="2"/>
  <c r="B19" i="2"/>
  <c r="B21" i="2"/>
  <c r="B13" i="2"/>
  <c r="B18" i="2"/>
  <c r="C22" i="1"/>
  <c r="C21" i="1"/>
  <c r="C23" i="1"/>
  <c r="A21" i="2"/>
  <c r="A20" i="2"/>
  <c r="A19" i="2"/>
  <c r="A18" i="2"/>
  <c r="A17" i="2"/>
  <c r="A16" i="2"/>
  <c r="A15" i="2"/>
  <c r="A14" i="2"/>
  <c r="A13" i="2"/>
  <c r="B10" i="1"/>
  <c r="D10" i="1" s="1"/>
  <c r="D9" i="1"/>
  <c r="B5" i="1"/>
  <c r="D5" i="1" s="1"/>
  <c r="D8" i="1"/>
  <c r="O7" i="1"/>
  <c r="O6" i="1"/>
  <c r="O3" i="1"/>
  <c r="O2" i="1"/>
  <c r="B2" i="1"/>
  <c r="C24" i="1" l="1"/>
  <c r="O8" i="1"/>
  <c r="P4" i="1" s="1"/>
  <c r="Q4" i="1" s="1"/>
  <c r="C4" i="1" s="1"/>
  <c r="D4" i="1" s="1"/>
  <c r="P7" i="1" l="1"/>
  <c r="Q7" i="1" s="1"/>
  <c r="C7" i="1" s="1"/>
  <c r="D7" i="1" s="1"/>
  <c r="P3" i="1"/>
  <c r="Q3" i="1" s="1"/>
  <c r="C3" i="1" s="1"/>
  <c r="D3" i="1" s="1"/>
  <c r="P6" i="1"/>
  <c r="Q6" i="1" s="1"/>
  <c r="C6" i="1" s="1"/>
  <c r="D6" i="1" s="1"/>
  <c r="P2" i="1"/>
  <c r="P8" i="1" l="1"/>
  <c r="Q2" i="1"/>
  <c r="Q8" i="1" l="1"/>
  <c r="C2" i="1"/>
  <c r="D2" i="1" s="1"/>
  <c r="D13" i="1" l="1"/>
  <c r="E2" i="1" s="1"/>
  <c r="E16" i="1" l="1"/>
  <c r="E5" i="1"/>
  <c r="E10" i="1"/>
  <c r="E8" i="1"/>
  <c r="E9" i="1"/>
  <c r="E4" i="1"/>
  <c r="E3" i="1"/>
  <c r="E7" i="1"/>
  <c r="E6" i="1"/>
  <c r="L11" i="1" l="1"/>
  <c r="F11" i="1" l="1"/>
  <c r="J11" i="1"/>
  <c r="H11" i="1"/>
  <c r="B22" i="2"/>
</calcChain>
</file>

<file path=xl/sharedStrings.xml><?xml version="1.0" encoding="utf-8"?>
<sst xmlns="http://schemas.openxmlformats.org/spreadsheetml/2006/main" count="42" uniqueCount="35">
  <si>
    <t>General Government</t>
  </si>
  <si>
    <t>Police &amp; Fire Services</t>
  </si>
  <si>
    <t>Education</t>
  </si>
  <si>
    <t>Public Works</t>
  </si>
  <si>
    <t>Human Services</t>
  </si>
  <si>
    <t>Gen Govt Salaries</t>
  </si>
  <si>
    <t>Police &amp; Fire Salaries</t>
  </si>
  <si>
    <t>Employee Benefits</t>
  </si>
  <si>
    <t>Budget</t>
  </si>
  <si>
    <t>Benefits</t>
  </si>
  <si>
    <t>Total Cost</t>
  </si>
  <si>
    <t>Snow Removal</t>
  </si>
  <si>
    <t>Percent</t>
  </si>
  <si>
    <t>Public Works / Highway</t>
  </si>
  <si>
    <t>Property &amp; Liability Insurance</t>
  </si>
  <si>
    <t>General Government / City Hall (Inspections, Licenses, Treasury, Legal)</t>
  </si>
  <si>
    <t>Human Services (Veterans, Seniors, Recreation, Library)</t>
  </si>
  <si>
    <t>Debt Payments (Buildings, Capital Equipment)</t>
  </si>
  <si>
    <t>State Assessments (Charter Schools, School Choice, MBTA)</t>
  </si>
  <si>
    <t>Residential</t>
  </si>
  <si>
    <t>Commercial</t>
  </si>
  <si>
    <t>Industrial</t>
  </si>
  <si>
    <t>Personal Property</t>
  </si>
  <si>
    <t>Residential RE Taxes</t>
  </si>
  <si>
    <t>Commercial RE Taxes</t>
  </si>
  <si>
    <t>Industrial RE Taxes</t>
  </si>
  <si>
    <t>Personal Property RE Taxes</t>
  </si>
  <si>
    <t>Annual Property Tax Bill</t>
  </si>
  <si>
    <t>#1 My Property Valuation</t>
  </si>
  <si>
    <t>2026 Tax Rate</t>
  </si>
  <si>
    <t>Commercial / Industrial / Personal Property</t>
  </si>
  <si>
    <t>#2 My Property Class</t>
  </si>
  <si>
    <r>
      <rPr>
        <sz val="20"/>
        <color rgb="FFC00000"/>
        <rFont val="Gill Sans Nova"/>
        <family val="2"/>
      </rPr>
      <t>#1</t>
    </r>
    <r>
      <rPr>
        <sz val="14"/>
        <color rgb="FFC00000"/>
        <rFont val="Gill Sans Nova"/>
        <family val="2"/>
      </rPr>
      <t xml:space="preserve"> - Enter Your Assessed Property Valuation</t>
    </r>
  </si>
  <si>
    <r>
      <rPr>
        <sz val="20"/>
        <color rgb="FFC00000"/>
        <rFont val="Gill Sans Nova"/>
        <family val="2"/>
      </rPr>
      <t>#2</t>
    </r>
    <r>
      <rPr>
        <sz val="14"/>
        <color rgb="FFC00000"/>
        <rFont val="Gill Sans Nova"/>
        <family val="2"/>
      </rPr>
      <t xml:space="preserve"> - Use Drop Down to Select Your Property Tax Type</t>
    </r>
  </si>
  <si>
    <r>
      <rPr>
        <sz val="20"/>
        <color rgb="FFC00000"/>
        <rFont val="Gill Sans Nova"/>
        <family val="2"/>
      </rPr>
      <t>#3</t>
    </r>
    <r>
      <rPr>
        <sz val="14"/>
        <color rgb="FFC00000"/>
        <rFont val="Gill Sans Nova"/>
        <family val="2"/>
      </rPr>
      <t xml:space="preserve"> - See Where Your Tax Dollars Go!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</si>
</sst>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7" tint="-0.499984740745262"/>
      <name val="Aptos Display"/>
      <family val="2"/>
    </font>
    <font>
      <sz val="14"/>
      <color rgb="FFC00000"/>
      <name val="Gill Sans Nova"/>
      <family val="2"/>
    </font>
    <font>
      <sz val="11"/>
      <color theme="2" tint="-0.499984740745262"/>
      <name val="Aptos Narrow"/>
      <family val="2"/>
      <scheme val="minor"/>
    </font>
    <font>
      <sz val="14"/>
      <color theme="7" tint="-0.499984740745262"/>
      <name val="Gill Sans Nova"/>
      <family val="2"/>
    </font>
    <font>
      <b/>
      <sz val="14"/>
      <color theme="7" tint="-0.499984740745262"/>
      <name val="Gill Sans Nova"/>
      <family val="2"/>
    </font>
    <font>
      <b/>
      <i/>
      <sz val="14"/>
      <color theme="2" tint="-0.499984740745262"/>
      <name val="Aptos Display"/>
      <family val="2"/>
    </font>
    <font>
      <i/>
      <sz val="11"/>
      <color theme="2" tint="-0.499984740745262"/>
      <name val="Aptos Narrow"/>
      <family val="2"/>
      <scheme val="minor"/>
    </font>
    <font>
      <b/>
      <sz val="16"/>
      <color theme="7" tint="-0.499984740745262"/>
      <name val="Aptos Display"/>
      <family val="2"/>
    </font>
    <font>
      <sz val="20"/>
      <color rgb="FFC00000"/>
      <name val="Gill Sans Nov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1" applyFont="1"/>
    <xf numFmtId="164" fontId="0" fillId="0" borderId="0" xfId="2" applyNumberFormat="1" applyFont="1"/>
    <xf numFmtId="44" fontId="0" fillId="0" borderId="0" xfId="0" applyNumberFormat="1"/>
    <xf numFmtId="10" fontId="0" fillId="0" borderId="0" xfId="2" applyNumberFormat="1" applyFont="1"/>
    <xf numFmtId="44" fontId="0" fillId="2" borderId="0" xfId="1" applyFont="1" applyFill="1"/>
    <xf numFmtId="44" fontId="0" fillId="2" borderId="0" xfId="0" applyNumberFormat="1" applyFill="1"/>
    <xf numFmtId="0" fontId="2" fillId="0" borderId="0" xfId="0" applyFont="1"/>
    <xf numFmtId="44" fontId="2" fillId="0" borderId="0" xfId="0" applyNumberFormat="1" applyFont="1"/>
    <xf numFmtId="10" fontId="2" fillId="0" borderId="0" xfId="2" applyNumberFormat="1" applyFont="1"/>
    <xf numFmtId="10" fontId="0" fillId="0" borderId="0" xfId="0" applyNumberFormat="1"/>
    <xf numFmtId="44" fontId="2" fillId="0" borderId="1" xfId="0" applyNumberFormat="1" applyFont="1" applyBorder="1"/>
    <xf numFmtId="44" fontId="1" fillId="0" borderId="0" xfId="1" applyFont="1"/>
    <xf numFmtId="44" fontId="2" fillId="0" borderId="1" xfId="2" applyNumberFormat="1" applyFont="1" applyBorder="1"/>
    <xf numFmtId="10" fontId="1" fillId="0" borderId="0" xfId="2" applyNumberFormat="1" applyFont="1"/>
    <xf numFmtId="44" fontId="3" fillId="3" borderId="2" xfId="1" applyFont="1" applyFill="1" applyBorder="1" applyAlignment="1">
      <alignment horizontal="left" vertical="center"/>
    </xf>
    <xf numFmtId="44" fontId="8" fillId="3" borderId="2" xfId="1" applyFont="1" applyFill="1" applyBorder="1" applyAlignment="1">
      <alignment horizontal="left" vertical="center"/>
    </xf>
    <xf numFmtId="44" fontId="8" fillId="3" borderId="3" xfId="1" applyFont="1" applyFill="1" applyBorder="1" applyAlignment="1">
      <alignment horizontal="right" vertical="center"/>
    </xf>
    <xf numFmtId="0" fontId="4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right"/>
    </xf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right"/>
    </xf>
    <xf numFmtId="0" fontId="6" fillId="3" borderId="4" xfId="0" applyFont="1" applyFill="1" applyBorder="1" applyAlignment="1">
      <alignment horizontal="right" wrapText="1"/>
    </xf>
    <xf numFmtId="165" fontId="6" fillId="3" borderId="5" xfId="1" applyNumberFormat="1" applyFont="1" applyFill="1" applyBorder="1" applyAlignment="1">
      <alignment horizontal="right" indent="1"/>
    </xf>
    <xf numFmtId="0" fontId="6" fillId="3" borderId="6" xfId="0" applyFont="1" applyFill="1" applyBorder="1" applyAlignment="1">
      <alignment horizontal="right"/>
    </xf>
    <xf numFmtId="165" fontId="6" fillId="3" borderId="7" xfId="1" applyNumberFormat="1" applyFont="1" applyFill="1" applyBorder="1" applyAlignment="1">
      <alignment horizontal="right" indent="1"/>
    </xf>
    <xf numFmtId="0" fontId="6" fillId="3" borderId="6" xfId="0" applyFont="1" applyFill="1" applyBorder="1" applyAlignment="1">
      <alignment horizontal="right" wrapText="1"/>
    </xf>
    <xf numFmtId="44" fontId="3" fillId="5" borderId="3" xfId="1" applyFont="1" applyFill="1" applyBorder="1" applyAlignment="1" applyProtection="1">
      <alignment horizontal="right" vertical="center"/>
      <protection locked="0"/>
    </xf>
    <xf numFmtId="44" fontId="10" fillId="5" borderId="3" xfId="1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right"/>
    </xf>
    <xf numFmtId="165" fontId="7" fillId="6" borderId="9" xfId="1" applyNumberFormat="1" applyFont="1" applyFill="1" applyBorder="1" applyAlignment="1">
      <alignment horizontal="right" inden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spc="50" baseline="0">
                <a:solidFill>
                  <a:schemeClr val="accent4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>
                <a:solidFill>
                  <a:schemeClr val="accent4">
                    <a:lumMod val="50000"/>
                  </a:schemeClr>
                </a:solidFill>
              </a:rPr>
              <a:t>Where do my tax dollars go?</a:t>
            </a:r>
          </a:p>
        </c:rich>
      </c:tx>
      <c:layout>
        <c:manualLayout>
          <c:xMode val="edge"/>
          <c:yMode val="edge"/>
          <c:x val="0.20212160979877516"/>
          <c:y val="5.2287577393848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accent4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67665248740459"/>
          <c:y val="9.1963391120301288E-2"/>
          <c:w val="0.86525055057772948"/>
          <c:h val="0.5503299634332796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60000"/>
                      <a:lumOff val="40000"/>
                      <a:shade val="30000"/>
                      <a:satMod val="115000"/>
                    </a:schemeClr>
                  </a:gs>
                  <a:gs pos="50000">
                    <a:schemeClr val="accent6">
                      <a:lumMod val="60000"/>
                      <a:lumOff val="40000"/>
                      <a:shade val="67500"/>
                      <a:satMod val="115000"/>
                    </a:schemeClr>
                  </a:gs>
                  <a:gs pos="100000">
                    <a:schemeClr val="accent6">
                      <a:lumMod val="60000"/>
                      <a:lumOff val="40000"/>
                      <a:shade val="100000"/>
                      <a:satMod val="115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DBC-4A9A-9A70-9E03F0F1AF35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rgbClr val="FFC000">
                      <a:shade val="30000"/>
                      <a:satMod val="115000"/>
                    </a:srgbClr>
                  </a:gs>
                  <a:gs pos="50000">
                    <a:srgbClr val="FFC000">
                      <a:shade val="67500"/>
                      <a:satMod val="115000"/>
                    </a:srgbClr>
                  </a:gs>
                  <a:gs pos="100000">
                    <a:srgbClr val="FFC000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BC-4A9A-9A70-9E03F0F1AF35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rgbClr val="FF0000">
                      <a:shade val="30000"/>
                      <a:satMod val="115000"/>
                    </a:srgbClr>
                  </a:gs>
                  <a:gs pos="50000">
                    <a:srgbClr val="FF0000">
                      <a:shade val="67500"/>
                      <a:satMod val="115000"/>
                    </a:srgbClr>
                  </a:gs>
                  <a:gs pos="100000">
                    <a:srgbClr val="FF0000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BC-4A9A-9A70-9E03F0F1AF35}"/>
              </c:ext>
            </c:extLst>
          </c:dPt>
          <c:dPt>
            <c:idx val="4"/>
            <c:invertIfNegative val="0"/>
            <c:bubble3D val="0"/>
            <c:spPr>
              <a:gradFill flip="none" rotWithShape="1">
                <a:gsLst>
                  <a:gs pos="0">
                    <a:srgbClr val="7030A0">
                      <a:shade val="30000"/>
                      <a:satMod val="115000"/>
                    </a:srgbClr>
                  </a:gs>
                  <a:gs pos="50000">
                    <a:srgbClr val="7030A0">
                      <a:shade val="67500"/>
                      <a:satMod val="115000"/>
                    </a:srgbClr>
                  </a:gs>
                  <a:gs pos="100000">
                    <a:srgbClr val="7030A0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BC-4A9A-9A70-9E03F0F1AF35}"/>
              </c:ext>
            </c:extLst>
          </c:dPt>
          <c:dPt>
            <c:idx val="5"/>
            <c:invertIfNegative val="0"/>
            <c:bubble3D val="0"/>
            <c:spPr>
              <a:gradFill flip="none" rotWithShape="1">
                <a:gsLst>
                  <a:gs pos="0">
                    <a:schemeClr val="bg1">
                      <a:lumMod val="50000"/>
                      <a:shade val="30000"/>
                      <a:satMod val="115000"/>
                    </a:schemeClr>
                  </a:gs>
                  <a:gs pos="50000">
                    <a:schemeClr val="bg1">
                      <a:lumMod val="50000"/>
                      <a:shade val="67500"/>
                      <a:satMod val="115000"/>
                    </a:schemeClr>
                  </a:gs>
                  <a:gs pos="100000">
                    <a:schemeClr val="bg1">
                      <a:lumMod val="50000"/>
                      <a:shade val="100000"/>
                      <a:satMod val="115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BC-4A9A-9A70-9E03F0F1AF35}"/>
              </c:ext>
            </c:extLst>
          </c:dPt>
          <c:dPt>
            <c:idx val="6"/>
            <c:invertIfNegative val="0"/>
            <c:bubble3D val="0"/>
            <c:spPr>
              <a:gradFill flip="none" rotWithShape="1">
                <a:gsLst>
                  <a:gs pos="0">
                    <a:srgbClr val="FFFF00">
                      <a:shade val="30000"/>
                      <a:satMod val="115000"/>
                    </a:srgbClr>
                  </a:gs>
                  <a:gs pos="50000">
                    <a:srgbClr val="FFFF00">
                      <a:shade val="67500"/>
                      <a:satMod val="115000"/>
                    </a:srgbClr>
                  </a:gs>
                  <a:gs pos="100000">
                    <a:srgbClr val="FFFF00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BC-4A9A-9A70-9E03F0F1AF35}"/>
              </c:ext>
            </c:extLst>
          </c:dPt>
          <c:dPt>
            <c:idx val="7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60000"/>
                      <a:lumOff val="40000"/>
                      <a:shade val="30000"/>
                      <a:satMod val="115000"/>
                    </a:schemeClr>
                  </a:gs>
                  <a:gs pos="50000">
                    <a:schemeClr val="accent5">
                      <a:lumMod val="60000"/>
                      <a:lumOff val="40000"/>
                      <a:shade val="67500"/>
                      <a:satMod val="115000"/>
                    </a:schemeClr>
                  </a:gs>
                  <a:gs pos="100000">
                    <a:schemeClr val="accent5">
                      <a:lumMod val="60000"/>
                      <a:lumOff val="40000"/>
                      <a:shade val="100000"/>
                      <a:satMod val="115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DBC-4A9A-9A70-9E03F0F1AF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BC-4A9A-9A70-9E03F0F1AF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Dashboard!$A$13:$A$21</c:f>
              <c:strCache>
                <c:ptCount val="9"/>
                <c:pt idx="0">
                  <c:v>General Government / City Hall (Inspections, Licenses, Treasury, Legal)</c:v>
                </c:pt>
                <c:pt idx="1">
                  <c:v>Police &amp; Fire Services</c:v>
                </c:pt>
                <c:pt idx="2">
                  <c:v>Education</c:v>
                </c:pt>
                <c:pt idx="3">
                  <c:v>Snow Removal</c:v>
                </c:pt>
                <c:pt idx="4">
                  <c:v>Public Works / Highway</c:v>
                </c:pt>
                <c:pt idx="5">
                  <c:v>Human Services (Veterans, Seniors, Recreation, Library)</c:v>
                </c:pt>
                <c:pt idx="6">
                  <c:v>Debt Payments (Buildings, Capital Equipment)</c:v>
                </c:pt>
                <c:pt idx="7">
                  <c:v>State Assessments (Charter Schools, School Choice, MBTA)</c:v>
                </c:pt>
                <c:pt idx="8">
                  <c:v>Property &amp; Liability Insurance</c:v>
                </c:pt>
              </c:strCache>
            </c:strRef>
          </c:cat>
          <c:val>
            <c:numRef>
              <c:f>Dashboard!$B$13:$B$21</c:f>
              <c:numCache>
                <c:formatCode>"$"#,##0.00</c:formatCode>
                <c:ptCount val="9"/>
                <c:pt idx="0">
                  <c:v>203.20988969344342</c:v>
                </c:pt>
                <c:pt idx="1">
                  <c:v>889.64918535293316</c:v>
                </c:pt>
                <c:pt idx="2">
                  <c:v>3894.3287323187678</c:v>
                </c:pt>
                <c:pt idx="3">
                  <c:v>42.445075020562093</c:v>
                </c:pt>
                <c:pt idx="4">
                  <c:v>283.6145871626764</c:v>
                </c:pt>
                <c:pt idx="5">
                  <c:v>91.859363191959147</c:v>
                </c:pt>
                <c:pt idx="6">
                  <c:v>199.85729148296275</c:v>
                </c:pt>
                <c:pt idx="7">
                  <c:v>200.55671771214793</c:v>
                </c:pt>
                <c:pt idx="8">
                  <c:v>29.979158064547139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3-4F9E-8312-B78C9149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1879168207"/>
        <c:axId val="1879173007"/>
      </c:barChart>
      <c:catAx>
        <c:axId val="187916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173007"/>
        <c:crosses val="autoZero"/>
        <c:auto val="1"/>
        <c:lblAlgn val="ctr"/>
        <c:lblOffset val="100"/>
        <c:noMultiLvlLbl val="0"/>
      </c:catAx>
      <c:valAx>
        <c:axId val="1879173007"/>
        <c:scaling>
          <c:orientation val="minMax"/>
          <c:max val="15000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168207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bg1">
            <a:lumMod val="95000"/>
            <a:shade val="30000"/>
            <a:satMod val="115000"/>
          </a:schemeClr>
        </a:gs>
        <a:gs pos="50000">
          <a:schemeClr val="bg1">
            <a:lumMod val="95000"/>
            <a:shade val="67500"/>
            <a:satMod val="115000"/>
          </a:schemeClr>
        </a:gs>
        <a:gs pos="100000">
          <a:schemeClr val="bg1">
            <a:lumMod val="95000"/>
            <a:shade val="100000"/>
            <a:satMod val="115000"/>
          </a:schemeClr>
        </a:gs>
      </a:gsLst>
      <a:path path="circle">
        <a:fillToRect l="50000" t="50000" r="50000" b="50000"/>
      </a:path>
      <a:tileRect/>
    </a:gradFill>
    <a:ln w="28575" cap="flat" cmpd="sng" algn="ctr">
      <a:solidFill>
        <a:schemeClr val="accent4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0</xdr:row>
      <xdr:rowOff>33337</xdr:rowOff>
    </xdr:from>
    <xdr:to>
      <xdr:col>7</xdr:col>
      <xdr:colOff>523875</xdr:colOff>
      <xdr:row>21</xdr:row>
      <xdr:rowOff>247650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F4DB42-42D8-FFCE-BEA0-9883E8F63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781054</xdr:colOff>
      <xdr:row>1</xdr:row>
      <xdr:rowOff>247648</xdr:rowOff>
    </xdr:from>
    <xdr:to>
      <xdr:col>1</xdr:col>
      <xdr:colOff>1466854</xdr:colOff>
      <xdr:row>3</xdr:row>
      <xdr:rowOff>57150</xdr:rowOff>
    </xdr:to>
    <xdr:sp macro="" textlink="">
      <xdr:nvSpPr>
        <xdr:cNvPr id="19" name="Arrow: Left 18">
          <a:extLst>
            <a:ext uri="{FF2B5EF4-FFF2-40B4-BE49-F238E27FC236}">
              <a16:creationId xmlns:a16="http://schemas.microsoft.com/office/drawing/2014/main" id="{E15D2E3D-F33D-4909-A4A9-5360F3D42F97}"/>
            </a:ext>
          </a:extLst>
        </xdr:cNvPr>
        <xdr:cNvSpPr/>
      </xdr:nvSpPr>
      <xdr:spPr>
        <a:xfrm rot="16200000">
          <a:off x="5295903" y="609599"/>
          <a:ext cx="609602" cy="685800"/>
        </a:xfrm>
        <a:prstGeom prst="leftArrow">
          <a:avLst/>
        </a:prstGeom>
        <a:solidFill>
          <a:schemeClr val="accent6">
            <a:lumMod val="20000"/>
            <a:lumOff val="80000"/>
          </a:schemeClr>
        </a:solidFill>
        <a:ln w="19050" cap="flat" cmpd="sng" algn="ctr">
          <a:solidFill>
            <a:srgbClr val="196B2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ptos Narrow" panose="0211000402020202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876301</xdr:colOff>
      <xdr:row>1</xdr:row>
      <xdr:rowOff>361949</xdr:rowOff>
    </xdr:from>
    <xdr:to>
      <xdr:col>1</xdr:col>
      <xdr:colOff>1362076</xdr:colOff>
      <xdr:row>2</xdr:row>
      <xdr:rowOff>314324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DE56497-6376-B1BE-5525-F806F325FEF7}"/>
            </a:ext>
          </a:extLst>
        </xdr:cNvPr>
        <xdr:cNvSpPr txBox="1"/>
      </xdr:nvSpPr>
      <xdr:spPr>
        <a:xfrm rot="20398645">
          <a:off x="5353051" y="761999"/>
          <a:ext cx="4857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>
              <a:solidFill>
                <a:srgbClr val="FF0000"/>
              </a:solidFill>
            </a:rPr>
            <a:t>#1</a:t>
          </a:r>
        </a:p>
      </xdr:txBody>
    </xdr:sp>
    <xdr:clientData/>
  </xdr:twoCellAnchor>
  <xdr:twoCellAnchor>
    <xdr:from>
      <xdr:col>1</xdr:col>
      <xdr:colOff>1914526</xdr:colOff>
      <xdr:row>6</xdr:row>
      <xdr:rowOff>57149</xdr:rowOff>
    </xdr:from>
    <xdr:to>
      <xdr:col>2</xdr:col>
      <xdr:colOff>600076</xdr:colOff>
      <xdr:row>6</xdr:row>
      <xdr:rowOff>800100</xdr:rowOff>
    </xdr:to>
    <xdr:sp macro="" textlink="">
      <xdr:nvSpPr>
        <xdr:cNvPr id="22" name="Arrow: Left 21">
          <a:extLst>
            <a:ext uri="{FF2B5EF4-FFF2-40B4-BE49-F238E27FC236}">
              <a16:creationId xmlns:a16="http://schemas.microsoft.com/office/drawing/2014/main" id="{38008DC3-1B9E-4ACE-A714-DAA2E09CD654}"/>
            </a:ext>
          </a:extLst>
        </xdr:cNvPr>
        <xdr:cNvSpPr/>
      </xdr:nvSpPr>
      <xdr:spPr>
        <a:xfrm>
          <a:off x="6391276" y="2028824"/>
          <a:ext cx="609600" cy="742951"/>
        </a:xfrm>
        <a:prstGeom prst="leftArrow">
          <a:avLst/>
        </a:prstGeom>
        <a:solidFill>
          <a:schemeClr val="accent6">
            <a:lumMod val="20000"/>
            <a:lumOff val="80000"/>
          </a:schemeClr>
        </a:solidFill>
        <a:ln w="19050" cap="flat" cmpd="sng" algn="ctr">
          <a:solidFill>
            <a:srgbClr val="196B2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ptos Narrow" panose="0211000402020202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66675</xdr:colOff>
      <xdr:row>6</xdr:row>
      <xdr:rowOff>257175</xdr:rowOff>
    </xdr:from>
    <xdr:to>
      <xdr:col>2</xdr:col>
      <xdr:colOff>561975</xdr:colOff>
      <xdr:row>6</xdr:row>
      <xdr:rowOff>676275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A1F5F30-511E-1846-79C2-9707A20B819F}"/>
            </a:ext>
          </a:extLst>
        </xdr:cNvPr>
        <xdr:cNvSpPr txBox="1"/>
      </xdr:nvSpPr>
      <xdr:spPr>
        <a:xfrm rot="20172910">
          <a:off x="6467475" y="2228850"/>
          <a:ext cx="4953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>
              <a:solidFill>
                <a:srgbClr val="FF0000"/>
              </a:solidFill>
            </a:rPr>
            <a:t>#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6F0B-3F6E-43CB-AE93-B49C9B93B54B}">
  <sheetPr>
    <tabColor rgb="FFFFFF00"/>
    <pageSetUpPr fitToPage="1"/>
  </sheetPr>
  <dimension ref="A1:N46"/>
  <sheetViews>
    <sheetView tabSelected="1" workbookViewId="0">
      <selection activeCell="B5" sqref="B5"/>
    </sheetView>
  </sheetViews>
  <sheetFormatPr defaultRowHeight="15" x14ac:dyDescent="0.25"/>
  <cols>
    <col min="1" max="1" width="67.140625" customWidth="1"/>
    <col min="2" max="2" width="28.85546875" customWidth="1"/>
    <col min="3" max="3" width="64.5703125" customWidth="1"/>
  </cols>
  <sheetData>
    <row r="1" spans="1:14" ht="31.5" customHeight="1" x14ac:dyDescent="0.45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31.5" customHeight="1" x14ac:dyDescent="0.45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31.5" customHeight="1" x14ac:dyDescent="0.45">
      <c r="A3" s="18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5.75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29.25" customHeight="1" thickBot="1" x14ac:dyDescent="0.3">
      <c r="A5" s="15" t="s">
        <v>28</v>
      </c>
      <c r="B5" s="29">
        <v>550000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5.75" thickBot="1" x14ac:dyDescent="0.3">
      <c r="A6" s="20"/>
      <c r="B6" s="2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65.25" customHeight="1" thickBot="1" x14ac:dyDescent="0.3">
      <c r="A7" s="15" t="s">
        <v>31</v>
      </c>
      <c r="B7" s="30" t="s">
        <v>19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.75" thickBot="1" x14ac:dyDescent="0.3">
      <c r="A8" s="20"/>
      <c r="B8" s="21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9.5" thickBot="1" x14ac:dyDescent="0.3">
      <c r="A9" s="16" t="s">
        <v>29</v>
      </c>
      <c r="B9" s="17" t="str">
        <f>IF(B7="Residential", "$10.61", "$19.17")</f>
        <v>$10.61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5.75" thickBot="1" x14ac:dyDescent="0.3">
      <c r="A10" s="22"/>
      <c r="B10" s="23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ht="19.5" thickBot="1" x14ac:dyDescent="0.3">
      <c r="A11" s="16" t="s">
        <v>27</v>
      </c>
      <c r="B11" s="17">
        <f>B5/1000*B9</f>
        <v>5835.5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15.75" thickBo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43.5" customHeight="1" x14ac:dyDescent="0.35">
      <c r="A13" s="24" t="str">
        <f>Sheet1!A2</f>
        <v>General Government / City Hall (Inspections, Licenses, Treasury, Legal)</v>
      </c>
      <c r="B13" s="25">
        <f>B11*Sheet1!E2</f>
        <v>203.20988969344342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21" customHeight="1" x14ac:dyDescent="0.35">
      <c r="A14" s="26" t="str">
        <f>Sheet1!A3</f>
        <v>Police &amp; Fire Services</v>
      </c>
      <c r="B14" s="27">
        <f>B11*Sheet1!E3</f>
        <v>889.64918535293316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21" customHeight="1" x14ac:dyDescent="0.35">
      <c r="A15" s="26" t="str">
        <f>Sheet1!A4</f>
        <v>Education</v>
      </c>
      <c r="B15" s="27">
        <f>B11*Sheet1!E4</f>
        <v>3894.3287323187678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ht="21" customHeight="1" x14ac:dyDescent="0.35">
      <c r="A16" s="26" t="str">
        <f>Sheet1!A5</f>
        <v>Snow Removal</v>
      </c>
      <c r="B16" s="27">
        <f>B11*Sheet1!E5</f>
        <v>42.445075020562093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21" customHeight="1" x14ac:dyDescent="0.35">
      <c r="A17" s="26" t="str">
        <f>Sheet1!A6</f>
        <v>Public Works / Highway</v>
      </c>
      <c r="B17" s="27">
        <f>B11*Sheet1!E6</f>
        <v>283.6145871626764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21" customHeight="1" x14ac:dyDescent="0.35">
      <c r="A18" s="26" t="str">
        <f>Sheet1!A7</f>
        <v>Human Services (Veterans, Seniors, Recreation, Library)</v>
      </c>
      <c r="B18" s="27">
        <f>B11*Sheet1!E7</f>
        <v>91.859363191959147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1" customHeight="1" x14ac:dyDescent="0.35">
      <c r="A19" s="26" t="str">
        <f>Sheet1!A8</f>
        <v>Debt Payments (Buildings, Capital Equipment)</v>
      </c>
      <c r="B19" s="27">
        <f>B11*Sheet1!E8</f>
        <v>199.85729148296275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1" customHeight="1" x14ac:dyDescent="0.35">
      <c r="A20" s="28" t="str">
        <f>Sheet1!A9</f>
        <v>State Assessments (Charter Schools, School Choice, MBTA)</v>
      </c>
      <c r="B20" s="27">
        <f>B11*Sheet1!E9</f>
        <v>200.55671771214793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1" customHeight="1" x14ac:dyDescent="0.35">
      <c r="A21" s="26" t="str">
        <f>Sheet1!A10</f>
        <v>Property &amp; Liability Insurance</v>
      </c>
      <c r="B21" s="27">
        <f>B11*Sheet1!E10</f>
        <v>29.979158064547139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21" customHeight="1" thickBot="1" x14ac:dyDescent="0.4">
      <c r="A22" s="31"/>
      <c r="B22" s="32">
        <f>SUM(B13:B21)</f>
        <v>5835.5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</sheetData>
  <sheetProtection sheet="1" objects="1" scenarios="1" selectLockedCells="1"/>
  <pageMargins left="0.7" right="0.7" top="0.75" bottom="0.75" header="0.3" footer="0.3"/>
  <pageSetup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FCD3F2-27C3-4F66-9821-E47E02F6CA71}">
          <x14:formula1>
            <xm:f>Sheet1!$A$27:$A$28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C71C-A30F-4EB8-BB04-A4E2423DCD82}">
  <dimension ref="A1:Q28"/>
  <sheetViews>
    <sheetView workbookViewId="0">
      <selection activeCell="C30" sqref="C30"/>
    </sheetView>
  </sheetViews>
  <sheetFormatPr defaultRowHeight="15" x14ac:dyDescent="0.25"/>
  <cols>
    <col min="1" max="1" width="49.28515625" customWidth="1"/>
    <col min="2" max="2" width="16.28515625" style="1" bestFit="1" customWidth="1"/>
    <col min="3" max="3" width="16.28515625" customWidth="1"/>
    <col min="4" max="4" width="19.140625" customWidth="1"/>
    <col min="5" max="5" width="12" style="4" customWidth="1"/>
    <col min="6" max="9" width="19.140625" style="4" customWidth="1"/>
    <col min="10" max="11" width="21.42578125" style="4" customWidth="1"/>
    <col min="12" max="13" width="21.42578125" customWidth="1"/>
    <col min="14" max="14" width="20.42578125" customWidth="1"/>
    <col min="15" max="15" width="16.28515625" style="1" bestFit="1" customWidth="1"/>
    <col min="16" max="16" width="9.140625" style="2"/>
    <col min="17" max="17" width="17.5703125" customWidth="1"/>
  </cols>
  <sheetData>
    <row r="1" spans="1:17" x14ac:dyDescent="0.25">
      <c r="B1" s="1" t="s">
        <v>8</v>
      </c>
      <c r="C1" t="s">
        <v>9</v>
      </c>
      <c r="D1" s="7" t="s">
        <v>10</v>
      </c>
      <c r="E1" s="9" t="s">
        <v>12</v>
      </c>
      <c r="F1" s="9" t="s">
        <v>23</v>
      </c>
      <c r="G1" s="9" t="s">
        <v>23</v>
      </c>
      <c r="H1" s="9" t="s">
        <v>24</v>
      </c>
      <c r="I1" s="9" t="s">
        <v>24</v>
      </c>
      <c r="J1" s="9" t="s">
        <v>25</v>
      </c>
      <c r="K1" s="9" t="s">
        <v>25</v>
      </c>
      <c r="L1" s="9" t="s">
        <v>26</v>
      </c>
      <c r="M1" s="9" t="s">
        <v>26</v>
      </c>
    </row>
    <row r="2" spans="1:17" x14ac:dyDescent="0.25">
      <c r="A2" t="s">
        <v>15</v>
      </c>
      <c r="B2" s="1">
        <f>5500009+2234281</f>
        <v>7734290</v>
      </c>
      <c r="C2" s="6">
        <f>Q2</f>
        <v>1915929.2862150462</v>
      </c>
      <c r="D2" s="8">
        <f>B2+C2</f>
        <v>9650219.2862150464</v>
      </c>
      <c r="E2" s="9">
        <f>D2/$D$13</f>
        <v>3.4823046815773015E-2</v>
      </c>
      <c r="F2" s="12">
        <f>D2*$C$20</f>
        <v>7772824.1124350931</v>
      </c>
      <c r="G2" s="14"/>
      <c r="H2" s="12">
        <f>D2*$C$21</f>
        <v>843581.20059603103</v>
      </c>
      <c r="I2" s="14">
        <f>E2*C21</f>
        <v>3.0440829135586728E-3</v>
      </c>
      <c r="J2" s="12">
        <f>D2*$C$22</f>
        <v>486128.62098026875</v>
      </c>
      <c r="K2" s="14">
        <f>E2*C22</f>
        <v>1.7542067412980691E-3</v>
      </c>
      <c r="L2" s="3">
        <f>D2*$C$23</f>
        <v>547685.35220365366</v>
      </c>
      <c r="M2" s="4">
        <f>E2*C23</f>
        <v>1.9763356763658891E-3</v>
      </c>
      <c r="N2" t="s">
        <v>5</v>
      </c>
      <c r="O2" s="1">
        <f>234279+432688+377209+297788+469208+109442+100547+46818+318404+160000+594766+79127+1205528+247498+291516</f>
        <v>4964818</v>
      </c>
      <c r="P2" s="2">
        <f>O2/$O$8</f>
        <v>3.3901825999481584E-2</v>
      </c>
      <c r="Q2" s="3">
        <f>P2*$O$10</f>
        <v>1915929.2862150462</v>
      </c>
    </row>
    <row r="3" spans="1:17" x14ac:dyDescent="0.25">
      <c r="A3" t="s">
        <v>1</v>
      </c>
      <c r="B3" s="1">
        <v>31376147</v>
      </c>
      <c r="C3" s="6">
        <f>Q3</f>
        <v>10872336.769219756</v>
      </c>
      <c r="D3" s="8">
        <f t="shared" ref="D3:D10" si="0">B3+C3</f>
        <v>42248483.769219756</v>
      </c>
      <c r="E3" s="9">
        <f t="shared" ref="E3:E10" si="1">D3/$D$13</f>
        <v>0.15245466289999712</v>
      </c>
      <c r="F3" s="12">
        <f t="shared" ref="F3:F10" si="2">D3*$C$20</f>
        <v>34029281.989923902</v>
      </c>
      <c r="G3" s="12"/>
      <c r="H3" s="12">
        <f t="shared" ref="H3:H10" si="3">D3*$C$21</f>
        <v>3693183.0877989158</v>
      </c>
      <c r="I3" s="12"/>
      <c r="J3" s="12">
        <f t="shared" ref="J3:J10" si="4">D3*$C$22</f>
        <v>2128262.2232819167</v>
      </c>
      <c r="K3" s="12"/>
      <c r="L3" s="3">
        <f t="shared" ref="L3:L10" si="5">D3*$C$23</f>
        <v>2397756.4682150204</v>
      </c>
      <c r="N3" t="s">
        <v>6</v>
      </c>
      <c r="O3" s="1">
        <f>14399407+13774479</f>
        <v>28173886</v>
      </c>
      <c r="P3" s="2">
        <f t="shared" ref="P3:P7" si="6">O3/$O$8</f>
        <v>0.19238291935398846</v>
      </c>
      <c r="Q3" s="3">
        <f t="shared" ref="Q3:Q7" si="7">P3*$O$10</f>
        <v>10872336.769219756</v>
      </c>
    </row>
    <row r="4" spans="1:17" x14ac:dyDescent="0.25">
      <c r="A4" t="s">
        <v>2</v>
      </c>
      <c r="B4" s="1">
        <v>143185043</v>
      </c>
      <c r="C4" s="6">
        <f>Q4</f>
        <v>41752443.537578315</v>
      </c>
      <c r="D4" s="8">
        <f t="shared" si="0"/>
        <v>184937486.53757831</v>
      </c>
      <c r="E4" s="9">
        <f t="shared" si="1"/>
        <v>0.66735133790056855</v>
      </c>
      <c r="F4" s="12">
        <f t="shared" si="2"/>
        <v>148958952.33239117</v>
      </c>
      <c r="G4" s="12"/>
      <c r="H4" s="12">
        <f t="shared" si="3"/>
        <v>16166449.932535358</v>
      </c>
      <c r="I4" s="12"/>
      <c r="J4" s="12">
        <f t="shared" si="4"/>
        <v>9316203.3557613958</v>
      </c>
      <c r="K4" s="12"/>
      <c r="L4" s="3">
        <f t="shared" si="5"/>
        <v>10495880.916890383</v>
      </c>
      <c r="N4" t="s">
        <v>2</v>
      </c>
      <c r="O4" s="1">
        <v>108194642</v>
      </c>
      <c r="P4" s="2">
        <f t="shared" si="6"/>
        <v>0.73879766129598357</v>
      </c>
      <c r="Q4" s="3">
        <f t="shared" si="7"/>
        <v>41752443.537578315</v>
      </c>
    </row>
    <row r="5" spans="1:17" x14ac:dyDescent="0.25">
      <c r="A5" t="s">
        <v>11</v>
      </c>
      <c r="B5" s="1">
        <f>229330+980670+805671</f>
        <v>2015671</v>
      </c>
      <c r="C5" s="6"/>
      <c r="D5" s="8">
        <f t="shared" si="0"/>
        <v>2015671</v>
      </c>
      <c r="E5" s="9">
        <f t="shared" si="1"/>
        <v>7.2735969532280167E-3</v>
      </c>
      <c r="F5" s="12">
        <f t="shared" si="2"/>
        <v>1623533.6925365513</v>
      </c>
      <c r="G5" s="12"/>
      <c r="H5" s="12">
        <f t="shared" si="3"/>
        <v>176201.4014143213</v>
      </c>
      <c r="I5" s="12"/>
      <c r="J5" s="12">
        <f t="shared" si="4"/>
        <v>101539.18108157731</v>
      </c>
      <c r="K5" s="12"/>
      <c r="L5" s="3">
        <f t="shared" si="5"/>
        <v>114396.72496755015</v>
      </c>
      <c r="Q5" s="3"/>
    </row>
    <row r="6" spans="1:17" x14ac:dyDescent="0.25">
      <c r="A6" t="s">
        <v>13</v>
      </c>
      <c r="B6" s="1">
        <v>12379570</v>
      </c>
      <c r="C6" s="6">
        <f>Q6</f>
        <v>1088981.9637752436</v>
      </c>
      <c r="D6" s="8">
        <f t="shared" si="0"/>
        <v>13468551.963775244</v>
      </c>
      <c r="E6" s="9">
        <f t="shared" si="1"/>
        <v>4.8601591493903931E-2</v>
      </c>
      <c r="F6" s="12">
        <f t="shared" si="2"/>
        <v>10848321.924990954</v>
      </c>
      <c r="G6" s="12"/>
      <c r="H6" s="12">
        <f t="shared" si="3"/>
        <v>1177363.6327747966</v>
      </c>
      <c r="I6" s="12"/>
      <c r="J6" s="12">
        <f t="shared" si="4"/>
        <v>678476.66447372024</v>
      </c>
      <c r="K6" s="12"/>
      <c r="L6" s="3">
        <f t="shared" si="5"/>
        <v>764389.74153577338</v>
      </c>
      <c r="N6" t="s">
        <v>3</v>
      </c>
      <c r="O6" s="1">
        <f>59607+1404280+218185+51726+274157+584634+229330</f>
        <v>2821919</v>
      </c>
      <c r="P6" s="2">
        <f t="shared" si="6"/>
        <v>1.926922737603495E-2</v>
      </c>
      <c r="Q6" s="3">
        <f t="shared" si="7"/>
        <v>1088981.9637752436</v>
      </c>
    </row>
    <row r="7" spans="1:17" x14ac:dyDescent="0.25">
      <c r="A7" t="s">
        <v>16</v>
      </c>
      <c r="B7" s="1">
        <v>3477950</v>
      </c>
      <c r="C7" s="6">
        <f>Q7</f>
        <v>884352.44321164291</v>
      </c>
      <c r="D7" s="8">
        <f t="shared" si="0"/>
        <v>4362302.443211643</v>
      </c>
      <c r="E7" s="9">
        <f t="shared" si="1"/>
        <v>1.5741472571666377E-2</v>
      </c>
      <c r="F7" s="12">
        <f t="shared" si="2"/>
        <v>3513641.3599186665</v>
      </c>
      <c r="G7" s="12"/>
      <c r="H7" s="12">
        <f t="shared" si="3"/>
        <v>381333.95970225759</v>
      </c>
      <c r="I7" s="12"/>
      <c r="J7" s="12">
        <f t="shared" si="4"/>
        <v>219750.45417326246</v>
      </c>
      <c r="K7" s="12"/>
      <c r="L7" s="3">
        <f t="shared" si="5"/>
        <v>247576.66941745669</v>
      </c>
      <c r="N7" t="s">
        <v>4</v>
      </c>
      <c r="O7" s="1">
        <f>303619+115545+13500+193129+1665862</f>
        <v>2291655</v>
      </c>
      <c r="P7" s="2">
        <f t="shared" si="6"/>
        <v>1.5648365974511448E-2</v>
      </c>
      <c r="Q7" s="3">
        <f t="shared" si="7"/>
        <v>884352.44321164291</v>
      </c>
    </row>
    <row r="8" spans="1:17" x14ac:dyDescent="0.25">
      <c r="A8" t="s">
        <v>17</v>
      </c>
      <c r="B8" s="1">
        <v>9491008</v>
      </c>
      <c r="D8" s="8">
        <f t="shared" si="0"/>
        <v>9491008</v>
      </c>
      <c r="E8" s="9">
        <f t="shared" si="1"/>
        <v>3.4248529086275854E-2</v>
      </c>
      <c r="F8" s="12">
        <f t="shared" si="2"/>
        <v>7644586.4747441169</v>
      </c>
      <c r="G8" s="12"/>
      <c r="H8" s="12">
        <f t="shared" si="3"/>
        <v>829663.6258767104</v>
      </c>
      <c r="I8" s="12"/>
      <c r="J8" s="12">
        <f t="shared" si="4"/>
        <v>478108.37183186086</v>
      </c>
      <c r="K8" s="12"/>
      <c r="L8" s="3">
        <f t="shared" si="5"/>
        <v>538649.52754731209</v>
      </c>
      <c r="O8" s="1">
        <f>SUM(O2:O7)</f>
        <v>146446920</v>
      </c>
      <c r="P8" s="2">
        <f>SUM(P2:P7)</f>
        <v>1</v>
      </c>
      <c r="Q8" s="6">
        <f>SUM(Q2:Q7)</f>
        <v>56514044</v>
      </c>
    </row>
    <row r="9" spans="1:17" x14ac:dyDescent="0.25">
      <c r="A9" t="s">
        <v>18</v>
      </c>
      <c r="B9" s="1">
        <v>9524223</v>
      </c>
      <c r="D9" s="8">
        <f t="shared" si="0"/>
        <v>9524223</v>
      </c>
      <c r="E9" s="9">
        <f t="shared" si="1"/>
        <v>3.4368386207205538E-2</v>
      </c>
      <c r="F9" s="12">
        <f t="shared" si="2"/>
        <v>7671339.6857580179</v>
      </c>
      <c r="G9" s="12"/>
      <c r="H9" s="12">
        <f t="shared" si="3"/>
        <v>832567.14016449673</v>
      </c>
      <c r="I9" s="12"/>
      <c r="J9" s="12">
        <f t="shared" si="4"/>
        <v>479781.57341070217</v>
      </c>
      <c r="K9" s="12"/>
      <c r="L9" s="3">
        <f t="shared" si="5"/>
        <v>540534.60066678305</v>
      </c>
    </row>
    <row r="10" spans="1:17" x14ac:dyDescent="0.25">
      <c r="A10" t="s">
        <v>14</v>
      </c>
      <c r="B10" s="1">
        <f>1303678+120000</f>
        <v>1423678</v>
      </c>
      <c r="D10" s="8">
        <f t="shared" si="0"/>
        <v>1423678</v>
      </c>
      <c r="E10" s="9">
        <f t="shared" si="1"/>
        <v>5.1373760713815681E-3</v>
      </c>
      <c r="F10" s="12">
        <f t="shared" si="2"/>
        <v>1146709.5574243278</v>
      </c>
      <c r="G10" s="12"/>
      <c r="H10" s="12">
        <f t="shared" si="3"/>
        <v>124451.88662372883</v>
      </c>
      <c r="I10" s="12"/>
      <c r="J10" s="12">
        <f t="shared" si="4"/>
        <v>71717.605821514429</v>
      </c>
      <c r="K10" s="12"/>
      <c r="L10" s="3">
        <f t="shared" si="5"/>
        <v>80798.950130428959</v>
      </c>
      <c r="N10" t="s">
        <v>7</v>
      </c>
      <c r="O10" s="5">
        <v>56514044</v>
      </c>
    </row>
    <row r="11" spans="1:17" ht="15.75" thickBot="1" x14ac:dyDescent="0.3">
      <c r="D11" s="7"/>
      <c r="F11" s="13">
        <f>SUM(F2:F10)</f>
        <v>223209191.13012281</v>
      </c>
      <c r="G11" s="13"/>
      <c r="H11" s="13">
        <f>SUM(H2:H10)</f>
        <v>24224795.867486615</v>
      </c>
      <c r="I11" s="13"/>
      <c r="J11" s="13">
        <f>SUM(J2:J10)</f>
        <v>13959968.050816219</v>
      </c>
      <c r="K11" s="13"/>
      <c r="L11" s="11">
        <f>SUM(L2:L10)</f>
        <v>15727668.951574363</v>
      </c>
      <c r="M11" s="7"/>
    </row>
    <row r="12" spans="1:17" ht="15.75" thickTop="1" x14ac:dyDescent="0.25">
      <c r="D12" s="7"/>
    </row>
    <row r="13" spans="1:17" x14ac:dyDescent="0.25">
      <c r="D13" s="8">
        <f>SUM(D2:D12)</f>
        <v>277121624</v>
      </c>
    </row>
    <row r="16" spans="1:17" x14ac:dyDescent="0.25">
      <c r="D16">
        <v>100</v>
      </c>
      <c r="E16" s="1">
        <f>D16*E2</f>
        <v>3.4823046815773013</v>
      </c>
      <c r="F16" s="1"/>
      <c r="G16" s="1"/>
      <c r="H16" s="1"/>
      <c r="I16" s="1"/>
      <c r="J16" s="1"/>
      <c r="K16" s="1"/>
      <c r="L16" t="s">
        <v>0</v>
      </c>
    </row>
    <row r="20" spans="1:3" x14ac:dyDescent="0.25">
      <c r="A20" t="s">
        <v>19</v>
      </c>
      <c r="B20" s="1">
        <v>113037966</v>
      </c>
      <c r="C20" s="4">
        <f>B20/$B$24</f>
        <v>0.80545569814545692</v>
      </c>
    </row>
    <row r="21" spans="1:3" x14ac:dyDescent="0.25">
      <c r="A21" t="s">
        <v>20</v>
      </c>
      <c r="B21" s="1">
        <v>12267961</v>
      </c>
      <c r="C21" s="4">
        <f t="shared" ref="C21:C23" si="8">B21/$B$24</f>
        <v>8.741575456228784E-2</v>
      </c>
    </row>
    <row r="22" spans="1:3" x14ac:dyDescent="0.25">
      <c r="A22" t="s">
        <v>21</v>
      </c>
      <c r="B22" s="1">
        <v>7069630</v>
      </c>
      <c r="C22" s="4">
        <f t="shared" si="8"/>
        <v>5.0374878182787422E-2</v>
      </c>
    </row>
    <row r="23" spans="1:3" x14ac:dyDescent="0.25">
      <c r="A23" t="s">
        <v>22</v>
      </c>
      <c r="B23" s="1">
        <v>7964832</v>
      </c>
      <c r="C23" s="4">
        <f t="shared" si="8"/>
        <v>5.6753669109467837E-2</v>
      </c>
    </row>
    <row r="24" spans="1:3" x14ac:dyDescent="0.25">
      <c r="B24" s="1">
        <f>SUM(B20:B23)</f>
        <v>140340389</v>
      </c>
      <c r="C24" s="10">
        <f>SUM(C20:C23)</f>
        <v>1</v>
      </c>
    </row>
    <row r="27" spans="1:3" x14ac:dyDescent="0.25">
      <c r="A27" t="s">
        <v>19</v>
      </c>
      <c r="B27" s="1">
        <v>10.61</v>
      </c>
    </row>
    <row r="28" spans="1:3" x14ac:dyDescent="0.25">
      <c r="A28" t="s">
        <v>30</v>
      </c>
      <c r="B28" s="1">
        <v>19.170000000000002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Perkins</dc:creator>
  <cp:lastModifiedBy>Angel Perkins</cp:lastModifiedBy>
  <cp:lastPrinted>2025-12-18T20:00:35Z</cp:lastPrinted>
  <dcterms:created xsi:type="dcterms:W3CDTF">2025-12-17T18:07:54Z</dcterms:created>
  <dcterms:modified xsi:type="dcterms:W3CDTF">2026-01-12T16:08:24Z</dcterms:modified>
</cp:coreProperties>
</file>